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640" activeTab="1"/>
  </bookViews>
  <sheets>
    <sheet name="ROI Financial Dashboard" sheetId="1" r:id="rId1"/>
    <sheet name="Start Screen" sheetId="2" r:id="rId2"/>
    <sheet name="Read Me" sheetId="3" r:id="rId3"/>
    <sheet name="Example_Data" sheetId="4" state="hidden" r:id="rId4"/>
    <sheet name="Graph Data" sheetId="5" state="hidden" r:id="rId5"/>
  </sheets>
  <definedNames>
    <definedName name="AR_Annual_Labor_Costs">'Start Screen'!$G$153</definedName>
    <definedName name="AR_CNC_and_Parts_Revenue">'Start Screen'!$G$130</definedName>
    <definedName name="AR_CNC_Contract_Services_Costs">'Start Screen'!$I$108</definedName>
    <definedName name="AR_CNC_Parts_Costs">'Start Screen'!$I$105</definedName>
    <definedName name="AR_Cost_Per_Part">'Start Screen'!$G$74</definedName>
    <definedName name="AR_Cycle_Time_Cost_Savings_Per_Day">'Start Screen'!$G$78</definedName>
    <definedName name="AR_Cycle_Time_Cost_Savings_Per_Year">'Start Screen'!$G$82</definedName>
    <definedName name="AR_Internal_CNC_Services_Hours_Per_Year">'Start Screen'!$I$111</definedName>
    <definedName name="AR_Internal_Services_Costs">'Start Screen'!$G$114</definedName>
    <definedName name="AR_Labor_Cost_Savings">'Start Screen'!$G$156</definedName>
    <definedName name="AR_Maintenance_Cost_Savings_Y1">'Start Screen'!$G$116</definedName>
    <definedName name="AR_Maintenance_Cost_Savings_Y2">'Start Screen'!$G$118</definedName>
    <definedName name="AR_Maintenance_Cost_Savings_Y3">'Start Screen'!$G$120</definedName>
    <definedName name="AR_Number_of_Machines_Managed">'Start Screen'!$I$150</definedName>
    <definedName name="AR_Operator_Hours_Per_Day">'Start Screen'!$G$148</definedName>
    <definedName name="AR_Parts_Produced_Per_Day">'Start Screen'!$G$72</definedName>
    <definedName name="AR_Production_Days_First_Year">'Start Screen'!$G$80</definedName>
    <definedName name="AR_Total_CNC_Maintenance_Costs">'Start Screen'!#REF!</definedName>
    <definedName name="AR_Unmanned_Hours">'Start Screen'!$I$145</definedName>
    <definedName name="BR_Annual_Labor_Costs">'Start Screen'!$G$143</definedName>
    <definedName name="BR_CNC_Contract_Services_Costs">'Start Screen'!$I$92</definedName>
    <definedName name="BR_CNC_Parts_Costs">'Start Screen'!$I$89</definedName>
    <definedName name="BR_Cost_Per_Part">'Start Screen'!$G$51</definedName>
    <definedName name="BR_Internal_CNC_Services_Hours_Per_Year">'Start Screen'!$I$94</definedName>
    <definedName name="BR_Number_of_Machines_Managed">'Start Screen'!$I$141</definedName>
    <definedName name="BR_Number_of_Production_Hours_Lost">'Start Screen'!$I$53</definedName>
    <definedName name="BR_Operator_Hours_Per_Day">'Start Screen'!$I$39</definedName>
    <definedName name="BR_Total_CNC_Maintenance_Costs">'Start Screen'!$G$100</definedName>
    <definedName name="CNC_Internal_Services_Rate">'Start Screen'!$I$96</definedName>
    <definedName name="Comapny_Address">'Start Screen'!$C$18</definedName>
    <definedName name="Company_Address">'Start Screen'!$C$18</definedName>
    <definedName name="Company_City">'Start Screen'!$B$20</definedName>
    <definedName name="Company_Name">'Start Screen'!$C$14</definedName>
    <definedName name="Company_Phone">'Start Screen'!$C$22</definedName>
    <definedName name="Company_State">'Start Screen'!$E$20</definedName>
    <definedName name="Company_Zip">'Start Screen'!$G$20</definedName>
    <definedName name="Contact_Name">'Start Screen'!$C$16</definedName>
    <definedName name="Cost_of_Retrofit">'Start Screen'!$I$62</definedName>
    <definedName name="Cost_Savings_Per_Day">'Start Screen'!$G$78</definedName>
    <definedName name="Cost_Savings_Per_Part">'Start Screen'!$G$76</definedName>
    <definedName name="Cycle_Time_Improvement">'Start Screen'!$I$66</definedName>
    <definedName name="Discount_Rate">'ROI Financial Dashboard'!$C$22</definedName>
    <definedName name="Estimated_Savings">'ROI Financial Dashboard'!$I$18</definedName>
    <definedName name="EX_Address">'Example_Data'!$B$4</definedName>
    <definedName name="EX_AR_CNC_Contract_Services_Costs">'Example_Data'!$B$30</definedName>
    <definedName name="EX_AR_CNC_Parts_Costs">'Example_Data'!$B$29</definedName>
    <definedName name="EX_AR_Internal_CNC_Services_Hours_Per_Year">'Example_Data'!$B$31</definedName>
    <definedName name="EX_AR_Number_of_Machines_Managed">'Example_Data'!$B$41</definedName>
    <definedName name="EX_AR_Unmanned_Hours">'Example_Data'!$B$40</definedName>
    <definedName name="EX_BR_CNC_Contract_Services_Cost">'Example_Data'!$B$26</definedName>
    <definedName name="EX_BR_CNC_Contract_Services_Costs">'Example_Data'!$B$26</definedName>
    <definedName name="EX_BR_CNC_Parts_Cost">'Example_Data'!$B$25</definedName>
    <definedName name="EX_BR_CNC_Parts_Costs">'Example_Data'!$B$25</definedName>
    <definedName name="EX_BR_Internal_CNC_Services_Hours_Per_Year">'Example_Data'!$B$27</definedName>
    <definedName name="EX_BR_Number_of_Machines_Managed">'Example_Data'!$B$39</definedName>
    <definedName name="EX_City">'Example_Data'!$B$5</definedName>
    <definedName name="EX_CNC_Internal_Services_Rate">'Example_Data'!$B$28</definedName>
    <definedName name="EX_Company_Name">'Example_Data'!$B$2</definedName>
    <definedName name="EX_Contact_Name">'Example_Data'!$B$3</definedName>
    <definedName name="EX_Cost_of_Retrofit">'Example_Data'!$B$19</definedName>
    <definedName name="EX_Cycle_Time_Improvement">'Example_Data'!$B$22</definedName>
    <definedName name="EX_Internal_Services_Rate">'Example_Data'!$B$28</definedName>
    <definedName name="EX_Machining_Days_Per_Year">'Example_Data'!$B$14</definedName>
    <definedName name="EX_Machining_Hours_Per_Day">'Example_Data'!$B$13</definedName>
    <definedName name="EX_Number_of_Production_Hours_Lost">'Example_Data'!$B$17</definedName>
    <definedName name="EX_Operator_Hourly_Rate">'Example_Data'!$B$38</definedName>
    <definedName name="EX_Operator_Hours_Per_Day">'Example_Data'!$B$12</definedName>
    <definedName name="EX_Parts_Produced_Per_Day">'Example_Data'!$B$15</definedName>
    <definedName name="EX_Phone">'Example_Data'!$B$8</definedName>
    <definedName name="EX_Process_Burden_Rate">'Example_Data'!$B$16</definedName>
    <definedName name="EX_Production_Days_Lost_for_Retrofit">'Example_Data'!$B$18</definedName>
    <definedName name="EX_Project_Name">'Example_Data'!$B$9</definedName>
    <definedName name="EX_State">'Example_Data'!$B$6</definedName>
    <definedName name="EX_Value_of_Old_CNC">'Example_Data'!$B$34</definedName>
    <definedName name="EX_Value_of_Old_CNC_Parts">'Example_Data'!$B$35</definedName>
    <definedName name="EX_Zip">'Example_Data'!$B$7</definedName>
    <definedName name="LINK_Cycle_Time_Improvement">'Start Screen'!$A$64</definedName>
    <definedName name="LINK_Obsolete_CNC">'Start Screen'!$A$124</definedName>
    <definedName name="LINK_Reduce_Labor_Costs">'Start Screen'!$A$137</definedName>
    <definedName name="LINK_Reduced_Maintenance_Costs">'Start Screen'!$A$87</definedName>
    <definedName name="LINK_Start_Screen">'Start Screen'!$A$1</definedName>
    <definedName name="Machining_Days_Per_Year">'Start Screen'!$I$45</definedName>
    <definedName name="Machining_Hours_Per_Day">'Start Screen'!$I$42</definedName>
    <definedName name="Operator_Hourly_Rate">'Start Screen'!$I$139</definedName>
    <definedName name="Parts_Produced_Per_Day">'Start Screen'!$I$47</definedName>
    <definedName name="Process_Burden_Rate">'Start Screen'!$I$49</definedName>
    <definedName name="Production_Days_Lost_For_Retrofit">'Start Screen'!$I$59</definedName>
    <definedName name="Project_Name">'Start Screen'!$C$24</definedName>
    <definedName name="ROI_Investment">'ROI Financial Dashboard'!$I$14</definedName>
    <definedName name="Savings_From_Cost_Avoidance">'ROI Financial Dashboard'!$F$16</definedName>
    <definedName name="Savings_From_Cost_Reductions">'ROI Financial Dashboard'!$F$15</definedName>
    <definedName name="Savings_From_Revenue_Increases">'ROI Financial Dashboard'!$F$17</definedName>
    <definedName name="Value_of_Old_CNC">'Start Screen'!$I$126</definedName>
    <definedName name="Value_of_Old_CNC_Parts">'Start Screen'!$I$128</definedName>
  </definedNames>
  <calcPr fullCalcOnLoad="1"/>
</workbook>
</file>

<file path=xl/sharedStrings.xml><?xml version="1.0" encoding="utf-8"?>
<sst xmlns="http://schemas.openxmlformats.org/spreadsheetml/2006/main" count="168" uniqueCount="156">
  <si>
    <t xml:space="preserve">CNC Retrofit </t>
  </si>
  <si>
    <t>Needs Analysis Questionnaire Start Screen</t>
  </si>
  <si>
    <t>To use this tool press the "Clear" button. The sheets will be cleared and the cursor will be placed</t>
  </si>
  <si>
    <t>on the first data entry field. Enter Company information first, followed by General information.</t>
  </si>
  <si>
    <t>Respond to the Key PAIN Indicators (KPI) questions below and press the Dashboard button</t>
  </si>
  <si>
    <t>to calcuate the value potential.</t>
  </si>
  <si>
    <t>Date:</t>
  </si>
  <si>
    <t>Contact Name:</t>
  </si>
  <si>
    <t>Company Name:</t>
  </si>
  <si>
    <t>Address:</t>
  </si>
  <si>
    <t>City:</t>
  </si>
  <si>
    <t>State:</t>
  </si>
  <si>
    <t>Zip:</t>
  </si>
  <si>
    <t>Key PAIN Indicator (KPI) Questions for Value Estimate</t>
  </si>
  <si>
    <t>A. Is your cost per part to high?</t>
  </si>
  <si>
    <t>General Questions</t>
  </si>
  <si>
    <t>What is the maximum number of machining hours available in a normal working day?</t>
  </si>
  <si>
    <t>How many working days are there in the year?</t>
  </si>
  <si>
    <t>How many parts are produced in the typical working Day?</t>
  </si>
  <si>
    <t>What is the burden rate for the process per hour?</t>
  </si>
  <si>
    <t>What is the anticipated cycle time improvement from increased uptime, faster motors and improved acc/dec?</t>
  </si>
  <si>
    <t>GE Fanuc Studies have shown that cycle time improves 
by at least 20% after a retrofit</t>
  </si>
  <si>
    <t>Calculated parts production after retrofit</t>
  </si>
  <si>
    <t>Calculated cost per part after retrofit</t>
  </si>
  <si>
    <t>Calculated cost savings per part</t>
  </si>
  <si>
    <t>Calculated cost savings per day</t>
  </si>
  <si>
    <t>How many days of production will be lost to complete the retrofit?</t>
  </si>
  <si>
    <t>Calculated cycle time cost savings first year</t>
  </si>
  <si>
    <t>Calculated days of production first year</t>
  </si>
  <si>
    <t>What is the cost of  the retrofit?</t>
  </si>
  <si>
    <t>Calculated cycle time costs savings subsequent years</t>
  </si>
  <si>
    <t>Reduce part cost by decreasing part cycle time 
using the increased speed of motors and improved CNC acc/dec technologies</t>
  </si>
  <si>
    <t>Reduce the cost of CNC repairs by increasing control system reliability using 
a CNC with a high MTBF, a 2-year service contract and 24/7 technical support</t>
  </si>
  <si>
    <t>B. Are your CNC maintenance costs too high?</t>
  </si>
  <si>
    <t>How many hours of production are lost each year
due to CNC failures?</t>
  </si>
  <si>
    <t>Calculated current cost per part:</t>
  </si>
  <si>
    <t>Caclulated days of production are lost each year
due to CNC failures:</t>
  </si>
  <si>
    <t>What are the CNC contracted services costs per year?</t>
  </si>
  <si>
    <t>What are the CNC parts replacement and repair costs 
per calendar year?</t>
  </si>
  <si>
    <t>What are the internal CNC services labor hours per year?</t>
  </si>
  <si>
    <t>What is the labor rate of the internal CNC services labor?</t>
  </si>
  <si>
    <t>Calculated internal services costs per year:</t>
  </si>
  <si>
    <t>What will the CNC parts replacement and repair cost be per calendar year after the 2-year warranty expires?</t>
  </si>
  <si>
    <t>What will the CNC contracted services cost be per calendar year, after the 2-year warranty expires?</t>
  </si>
  <si>
    <t>Calculated total maintenance costs:</t>
  </si>
  <si>
    <t>What will the internal CNC services labor hours per year after the retrofit?</t>
  </si>
  <si>
    <t>Calculated internal services costs after the retrofit:</t>
  </si>
  <si>
    <t>Caclulated maintenance cost savings Year 1:</t>
  </si>
  <si>
    <t>Caclulated maintenance cost savings Year 2:</t>
  </si>
  <si>
    <t>Caclulated maintenance cost savings Year 3:</t>
  </si>
  <si>
    <t>Total maintenance cost savings over 3 years:</t>
  </si>
  <si>
    <t>What is the value of the obsolete CNC parts in stock?</t>
  </si>
  <si>
    <t>How much is the old CNC worth?</t>
  </si>
  <si>
    <t>C. Do you have too much CNC parts inventory?</t>
  </si>
  <si>
    <t>Financial Dashboard Summary</t>
  </si>
  <si>
    <t>Savings from Cost Reductions:</t>
  </si>
  <si>
    <t>Savings from Cost Avoidance:</t>
  </si>
  <si>
    <t>Savings from Revenue Increases:</t>
  </si>
  <si>
    <t>Estimated Savings:</t>
  </si>
  <si>
    <t>Financial Dashboard Summary Metrics</t>
  </si>
  <si>
    <t>Return on Investment Percentage:</t>
  </si>
  <si>
    <t>ROI Investment:</t>
  </si>
  <si>
    <t>Payback Period (Months)</t>
  </si>
  <si>
    <t>Factor:</t>
  </si>
  <si>
    <t>Net Present Value:</t>
  </si>
  <si>
    <t>Internal Rate of Return:</t>
  </si>
  <si>
    <t>Key PAIN Indicators</t>
  </si>
  <si>
    <t>Reduced CNC parts inventory:</t>
  </si>
  <si>
    <t>Reduced CNC mainenance costs:</t>
  </si>
  <si>
    <t>Reduced part cycle time:</t>
  </si>
  <si>
    <t>Total value estmation from KPIs:</t>
  </si>
  <si>
    <t>Investment</t>
  </si>
  <si>
    <t>Return</t>
  </si>
  <si>
    <t>Reductions</t>
  </si>
  <si>
    <t>Avoidance</t>
  </si>
  <si>
    <t>Increases</t>
  </si>
  <si>
    <t>Cycle Time</t>
  </si>
  <si>
    <t>Maintenance</t>
  </si>
  <si>
    <t>Sell Parts</t>
  </si>
  <si>
    <t>Return on Investment Financial Dashboard</t>
  </si>
  <si>
    <t>Project Name:</t>
  </si>
  <si>
    <t>Phone Number:</t>
  </si>
  <si>
    <t>GE Fanuc Studies have shown that little of no CNC breakdowns  
occur several years after a retrofit with a 10,000 hr MTBF</t>
  </si>
  <si>
    <t xml:space="preserve">  GE Fanuc Intelligent Platforms</t>
  </si>
  <si>
    <t xml:space="preserve">  Challottesville, Virgina 22911</t>
  </si>
  <si>
    <t xml:space="preserve">  Tel: 434-978-5000</t>
  </si>
  <si>
    <t>Caclulated revenue generated by sale 
of old CNC and parts:</t>
  </si>
  <si>
    <t>Year 1</t>
  </si>
  <si>
    <t>Year 2</t>
  </si>
  <si>
    <t>Year 3</t>
  </si>
  <si>
    <t>Total</t>
  </si>
  <si>
    <t>Increase revenue by selling obsolete CNC and parts inventory</t>
  </si>
  <si>
    <t>Reduce labor cost by increasing process reliability and automation so one operator can 
manage multiple machines using a CNC with a high MTBF and with automation features.</t>
  </si>
  <si>
    <t>D. Are your labor costs too high?</t>
  </si>
  <si>
    <t>What is the hourly rate of the machine operator?</t>
  </si>
  <si>
    <t>How many machines does the operator currently manage?</t>
  </si>
  <si>
    <t>Calculated annual cost of the operator for this machine:</t>
  </si>
  <si>
    <t>What is the total machine operator labor hours per day available in a normal working day?</t>
  </si>
  <si>
    <t>After the retrofit, how many hours per day will the machine be able to run without an operator?</t>
  </si>
  <si>
    <t>Calculated number of operator hours after the retrofit:</t>
  </si>
  <si>
    <t>After the retrofit, how many machines will the operator be able to managet?</t>
  </si>
  <si>
    <t>Calculated annual cost of the operator for this machine after the retrofit:</t>
  </si>
  <si>
    <t>Calculated annual labor reduction cost savings:</t>
  </si>
  <si>
    <t>Reduced labor costs:</t>
  </si>
  <si>
    <t>Labor</t>
  </si>
  <si>
    <t>Example Retrofit Project</t>
  </si>
  <si>
    <t>Company Name</t>
  </si>
  <si>
    <t>ACME Manufacturing</t>
  </si>
  <si>
    <t>Contact Name</t>
  </si>
  <si>
    <t>John Doe</t>
  </si>
  <si>
    <t>Address</t>
  </si>
  <si>
    <t>1234 Somewhere Street</t>
  </si>
  <si>
    <t>State</t>
  </si>
  <si>
    <t>City</t>
  </si>
  <si>
    <t>Gotham City</t>
  </si>
  <si>
    <t>DC</t>
  </si>
  <si>
    <t>Zip</t>
  </si>
  <si>
    <t>Phone</t>
  </si>
  <si>
    <t>123-456-7890</t>
  </si>
  <si>
    <t>Project Name</t>
  </si>
  <si>
    <t>START SHEET</t>
  </si>
  <si>
    <t>GENERAL DATA</t>
  </si>
  <si>
    <t>Machining Hours Per Day</t>
  </si>
  <si>
    <t>Machining Days Per Year</t>
  </si>
  <si>
    <t>Parts Produced Per Day</t>
  </si>
  <si>
    <t>Process Burden Rate</t>
  </si>
  <si>
    <t>Production Days Lost for Retrofit</t>
  </si>
  <si>
    <t>Cost of Retrofit</t>
  </si>
  <si>
    <t>Operator Hours Per Day</t>
  </si>
  <si>
    <t>Number of Production Hours Lost</t>
  </si>
  <si>
    <t>CYCLE TIME DATA</t>
  </si>
  <si>
    <t>Cycle Time Improvement</t>
  </si>
  <si>
    <t>MAINTENANCE DATA</t>
  </si>
  <si>
    <t>Internal Services Rate</t>
  </si>
  <si>
    <t>AR CNC Parts Costs</t>
  </si>
  <si>
    <t>AR Internal CNC Services Hours Per Year</t>
  </si>
  <si>
    <t>BR CNC Parts Costs</t>
  </si>
  <si>
    <t>BR CNC Contract Services Costs</t>
  </si>
  <si>
    <t>BR Internal CNC Services Hours Per Year</t>
  </si>
  <si>
    <t>AR CNC Contract Services Costs</t>
  </si>
  <si>
    <t>OLD CNC AND PARTS DATA</t>
  </si>
  <si>
    <t>Value of Old CNC</t>
  </si>
  <si>
    <t>Value of Old CNC Parts</t>
  </si>
  <si>
    <t>LABOR DATA</t>
  </si>
  <si>
    <t>Operator Hourly Rate</t>
  </si>
  <si>
    <t>BR Number of Machines Managed</t>
  </si>
  <si>
    <t>AR Unmanned Hours</t>
  </si>
  <si>
    <t>AR Number of Machines Managed</t>
  </si>
  <si>
    <t>Version :</t>
  </si>
  <si>
    <t>Athor:</t>
  </si>
  <si>
    <t>Mark Brownhill</t>
  </si>
  <si>
    <t>For more information refer to "ROI Selling" by Michael J. Nick and Kurt M. Koenig</t>
  </si>
  <si>
    <t>The purpose of this calculator is to show the customer (end-user) the cost of inaction on a CNC Retrofit.</t>
  </si>
  <si>
    <t>There are many other factors that could be included in the customers formal ROI, but the factors included should be sufficient to justify the retrofit.</t>
  </si>
  <si>
    <t>The ROI Financial Dashboard is the summary data that should be presented to the customer, and included in proposals.</t>
  </si>
  <si>
    <t>The Start Screen includes the questions to ask and the data to enter to calculate the ROI Financial Dashboard.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</si>
</sst>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</numFmts>
  <fonts count="2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75"/>
      <name val="Arial"/>
      <family val="0"/>
    </font>
    <font>
      <b/>
      <sz val="12"/>
      <name val="Arial"/>
      <family val="2"/>
    </font>
    <font>
      <b/>
      <sz val="8.75"/>
      <name val="Arial"/>
      <family val="2"/>
    </font>
    <font>
      <sz val="4.5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0"/>
    </font>
    <font>
      <sz val="8"/>
      <name val="Arial Narrow"/>
      <family val="2"/>
    </font>
    <font>
      <sz val="9.75"/>
      <name val="Arial"/>
      <family val="2"/>
    </font>
    <font>
      <b/>
      <sz val="9.75"/>
      <name val="Arial"/>
      <family val="2"/>
    </font>
    <font>
      <sz val="9.75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 applyProtection="1">
      <alignment/>
      <protection locked="0"/>
    </xf>
    <xf numFmtId="0" fontId="6" fillId="0" borderId="0" xfId="0" applyFont="1" applyAlignment="1">
      <alignment horizontal="center" vertical="center" wrapText="1"/>
    </xf>
    <xf numFmtId="164" fontId="3" fillId="3" borderId="1" xfId="0" applyNumberFormat="1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5" fontId="0" fillId="0" borderId="5" xfId="0" applyNumberFormat="1" applyBorder="1" applyAlignment="1">
      <alignment/>
    </xf>
    <xf numFmtId="0" fontId="4" fillId="4" borderId="0" xfId="0" applyFont="1" applyFill="1" applyBorder="1" applyAlignment="1">
      <alignment horizontal="center"/>
    </xf>
    <xf numFmtId="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9" fontId="0" fillId="2" borderId="1" xfId="0" applyNumberFormat="1" applyFill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165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2" borderId="1" xfId="0" applyNumberFormat="1" applyFill="1" applyBorder="1" applyAlignment="1" applyProtection="1">
      <alignment/>
      <protection locked="0"/>
    </xf>
    <xf numFmtId="17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4" borderId="8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2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66" fontId="0" fillId="6" borderId="9" xfId="0" applyNumberFormat="1" applyFill="1" applyBorder="1" applyAlignment="1">
      <alignment/>
    </xf>
    <xf numFmtId="0" fontId="0" fillId="6" borderId="11" xfId="0" applyFill="1" applyBorder="1" applyAlignment="1">
      <alignment/>
    </xf>
    <xf numFmtId="0" fontId="4" fillId="5" borderId="0" xfId="0" applyFont="1" applyFill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Return on Investment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Data'!$A$2:$A$3</c:f>
              <c:strCache>
                <c:ptCount val="2"/>
                <c:pt idx="0">
                  <c:v>Investment</c:v>
                </c:pt>
                <c:pt idx="1">
                  <c:v>Return</c:v>
                </c:pt>
              </c:strCache>
            </c:strRef>
          </c:cat>
          <c:val>
            <c:numRef>
              <c:f>'Graph Data'!$B$2:$B$3</c:f>
              <c:numCache>
                <c:ptCount val="2"/>
                <c:pt idx="0">
                  <c:v>150000</c:v>
                </c:pt>
                <c:pt idx="1">
                  <c:v>1092655</c:v>
                </c:pt>
              </c:numCache>
            </c:numRef>
          </c:val>
          <c:shape val="box"/>
        </c:ser>
        <c:shape val="box"/>
        <c:axId val="37587441"/>
        <c:axId val="2742650"/>
      </c:bar3DChart>
      <c:catAx>
        <c:axId val="3758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2650"/>
        <c:crosses val="autoZero"/>
        <c:auto val="1"/>
        <c:lblOffset val="100"/>
        <c:noMultiLvlLbl val="0"/>
      </c:catAx>
      <c:valAx>
        <c:axId val="2742650"/>
        <c:scaling>
          <c:orientation val="minMax"/>
        </c:scaling>
        <c:axPos val="l"/>
        <c:delete val="1"/>
        <c:majorTickMark val="out"/>
        <c:minorTickMark val="none"/>
        <c:tickLblPos val="nextTo"/>
        <c:crossAx val="375874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Return by Category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 Data'!$A$22:$A$24</c:f>
              <c:strCache>
                <c:ptCount val="3"/>
                <c:pt idx="0">
                  <c:v>Reductions</c:v>
                </c:pt>
                <c:pt idx="1">
                  <c:v>Avoidance</c:v>
                </c:pt>
                <c:pt idx="2">
                  <c:v>Increases</c:v>
                </c:pt>
              </c:strCache>
            </c:strRef>
          </c:cat>
          <c:val>
            <c:numRef>
              <c:f>'Graph Data'!$B$22:$B$24</c:f>
              <c:numCache>
                <c:ptCount val="3"/>
                <c:pt idx="0">
                  <c:v>1071655</c:v>
                </c:pt>
                <c:pt idx="1">
                  <c:v>0</c:v>
                </c:pt>
                <c:pt idx="2">
                  <c:v>21000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Key PAIN Indicators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Data'!$A$28:$A$31</c:f>
              <c:strCache>
                <c:ptCount val="4"/>
                <c:pt idx="0">
                  <c:v>Cycle Time</c:v>
                </c:pt>
                <c:pt idx="1">
                  <c:v>Labor</c:v>
                </c:pt>
                <c:pt idx="2">
                  <c:v>Sell Parts</c:v>
                </c:pt>
                <c:pt idx="3">
                  <c:v>Maintenance</c:v>
                </c:pt>
              </c:strCache>
            </c:strRef>
          </c:cat>
          <c:val>
            <c:numRef>
              <c:f>'Graph Data'!$B$28:$B$31</c:f>
              <c:numCache>
                <c:ptCount val="4"/>
                <c:pt idx="0">
                  <c:v>554400</c:v>
                </c:pt>
                <c:pt idx="1">
                  <c:v>504000</c:v>
                </c:pt>
                <c:pt idx="2">
                  <c:v>21000</c:v>
                </c:pt>
                <c:pt idx="3">
                  <c:v>13255</c:v>
                </c:pt>
              </c:numCache>
            </c:numRef>
          </c:val>
          <c:shape val="box"/>
        </c:ser>
        <c:shape val="box"/>
        <c:axId val="24683851"/>
        <c:axId val="20828068"/>
      </c:bar3DChart>
      <c:catAx>
        <c:axId val="24683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828068"/>
        <c:crosses val="autoZero"/>
        <c:auto val="1"/>
        <c:lblOffset val="100"/>
        <c:noMultiLvlLbl val="0"/>
      </c:catAx>
      <c:valAx>
        <c:axId val="20828068"/>
        <c:scaling>
          <c:orientation val="minMax"/>
        </c:scaling>
        <c:axPos val="l"/>
        <c:delete val="1"/>
        <c:majorTickMark val="out"/>
        <c:minorTickMark val="none"/>
        <c:tickLblPos val="nextTo"/>
        <c:crossAx val="24683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Retuen on Investment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Data'!$A$2:$A$3</c:f>
              <c:strCache/>
            </c:strRef>
          </c:cat>
          <c:val>
            <c:numRef>
              <c:f>'Graph Data'!$B$2:$B$3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53234885"/>
        <c:axId val="9351918"/>
      </c:bar3DChart>
      <c:catAx>
        <c:axId val="5323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51918"/>
        <c:crosses val="autoZero"/>
        <c:auto val="1"/>
        <c:lblOffset val="100"/>
        <c:noMultiLvlLbl val="0"/>
      </c:catAx>
      <c:valAx>
        <c:axId val="9351918"/>
        <c:scaling>
          <c:orientation val="minMax"/>
        </c:scaling>
        <c:axPos val="l"/>
        <c:delete val="1"/>
        <c:majorTickMark val="out"/>
        <c:minorTickMark val="none"/>
        <c:tickLblPos val="nextTo"/>
        <c:crossAx val="532348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 Data'!$A$22:$A$24</c:f>
              <c:strCache/>
            </c:strRef>
          </c:cat>
          <c:val>
            <c:numRef>
              <c:f>'Graph Data'!$B$22:$B$24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Key PAIN Indicators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Data'!$A$28:$A$31</c:f>
              <c:strCache/>
            </c:strRef>
          </c:cat>
          <c:val>
            <c:numRef>
              <c:f>'Graph Data'!$B$28:$B$31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7058399"/>
        <c:axId val="19307864"/>
      </c:bar3DChart>
      <c:catAx>
        <c:axId val="170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307864"/>
        <c:crosses val="autoZero"/>
        <c:auto val="1"/>
        <c:lblOffset val="100"/>
        <c:noMultiLvlLbl val="0"/>
      </c:catAx>
      <c:valAx>
        <c:axId val="19307864"/>
        <c:scaling>
          <c:orientation val="minMax"/>
        </c:scaling>
        <c:axPos val="l"/>
        <c:delete val="1"/>
        <c:majorTickMark val="out"/>
        <c:minorTickMark val="none"/>
        <c:tickLblPos val="nextTo"/>
        <c:crossAx val="170583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4</xdr:col>
      <xdr:colOff>390525</xdr:colOff>
      <xdr:row>10</xdr:row>
      <xdr:rowOff>200025</xdr:rowOff>
    </xdr:to>
    <xdr:graphicFrame>
      <xdr:nvGraphicFramePr>
        <xdr:cNvPr id="1" name="Chart 2"/>
        <xdr:cNvGraphicFramePr/>
      </xdr:nvGraphicFramePr>
      <xdr:xfrm>
        <a:off x="57150" y="581025"/>
        <a:ext cx="27241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3</xdr:row>
      <xdr:rowOff>9525</xdr:rowOff>
    </xdr:from>
    <xdr:to>
      <xdr:col>9</xdr:col>
      <xdr:colOff>0</xdr:colOff>
      <xdr:row>10</xdr:row>
      <xdr:rowOff>219075</xdr:rowOff>
    </xdr:to>
    <xdr:graphicFrame>
      <xdr:nvGraphicFramePr>
        <xdr:cNvPr id="2" name="Chart 3"/>
        <xdr:cNvGraphicFramePr/>
      </xdr:nvGraphicFramePr>
      <xdr:xfrm>
        <a:off x="2867025" y="581025"/>
        <a:ext cx="29718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47</xdr:row>
      <xdr:rowOff>9525</xdr:rowOff>
    </xdr:from>
    <xdr:to>
      <xdr:col>1</xdr:col>
      <xdr:colOff>704850</xdr:colOff>
      <xdr:row>49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823912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142875</xdr:rowOff>
    </xdr:from>
    <xdr:to>
      <xdr:col>8</xdr:col>
      <xdr:colOff>790575</xdr:colOff>
      <xdr:row>45</xdr:row>
      <xdr:rowOff>114300</xdr:rowOff>
    </xdr:to>
    <xdr:graphicFrame>
      <xdr:nvGraphicFramePr>
        <xdr:cNvPr id="4" name="Chart 6"/>
        <xdr:cNvGraphicFramePr/>
      </xdr:nvGraphicFramePr>
      <xdr:xfrm>
        <a:off x="66675" y="5457825"/>
        <a:ext cx="57626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457200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590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13</xdr:row>
      <xdr:rowOff>19050</xdr:rowOff>
    </xdr:from>
    <xdr:to>
      <xdr:col>9</xdr:col>
      <xdr:colOff>438150</xdr:colOff>
      <xdr:row>15</xdr:row>
      <xdr:rowOff>9525</xdr:rowOff>
    </xdr:to>
    <xdr:pic>
      <xdr:nvPicPr>
        <xdr:cNvPr id="2" name="btnClearWorkshe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2257425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133350</xdr:rowOff>
    </xdr:from>
    <xdr:to>
      <xdr:col>9</xdr:col>
      <xdr:colOff>438150</xdr:colOff>
      <xdr:row>17</xdr:row>
      <xdr:rowOff>123825</xdr:rowOff>
    </xdr:to>
    <xdr:pic>
      <xdr:nvPicPr>
        <xdr:cNvPr id="3" name="LoadExample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2695575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0</xdr:rowOff>
    </xdr:from>
    <xdr:to>
      <xdr:col>7</xdr:col>
      <xdr:colOff>238125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076450" y="161925"/>
        <a:ext cx="28670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17</xdr:row>
      <xdr:rowOff>28575</xdr:rowOff>
    </xdr:from>
    <xdr:to>
      <xdr:col>8</xdr:col>
      <xdr:colOff>180975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2266950" y="2781300"/>
        <a:ext cx="32289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8</xdr:col>
      <xdr:colOff>428625</xdr:colOff>
      <xdr:row>47</xdr:row>
      <xdr:rowOff>142875</xdr:rowOff>
    </xdr:to>
    <xdr:graphicFrame>
      <xdr:nvGraphicFramePr>
        <xdr:cNvPr id="3" name="Chart 3"/>
        <xdr:cNvGraphicFramePr/>
      </xdr:nvGraphicFramePr>
      <xdr:xfrm>
        <a:off x="0" y="5200650"/>
        <a:ext cx="57435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1:M50"/>
  <sheetViews>
    <sheetView workbookViewId="0" topLeftCell="A1">
      <selection activeCell="F14" sqref="F14"/>
    </sheetView>
  </sheetViews>
  <sheetFormatPr defaultColWidth="9.140625" defaultRowHeight="12.75"/>
  <cols>
    <col min="1" max="1" width="0.9921875" style="0" customWidth="1"/>
    <col min="2" max="2" width="17.00390625" style="0" customWidth="1"/>
    <col min="4" max="4" width="8.7109375" style="0" customWidth="1"/>
    <col min="5" max="5" width="10.28125" style="0" customWidth="1"/>
    <col min="6" max="6" width="11.140625" style="0" customWidth="1"/>
    <col min="9" max="9" width="12.00390625" style="0" customWidth="1"/>
  </cols>
  <sheetData>
    <row r="1" spans="2:9" ht="18">
      <c r="B1" s="49" t="s">
        <v>79</v>
      </c>
      <c r="C1" s="50"/>
      <c r="D1" s="50"/>
      <c r="E1" s="50"/>
      <c r="F1" s="50"/>
      <c r="G1" s="50"/>
      <c r="H1" s="50"/>
      <c r="I1" s="50"/>
    </row>
    <row r="2" spans="2:9" ht="18">
      <c r="B2" s="51" t="str">
        <f>Project_Name</f>
        <v>Example Retrofit Project</v>
      </c>
      <c r="C2" s="52"/>
      <c r="D2" s="52"/>
      <c r="E2" s="52"/>
      <c r="F2" s="52"/>
      <c r="G2" s="52"/>
      <c r="H2" s="52"/>
      <c r="I2" s="52"/>
    </row>
    <row r="3" spans="2:9" ht="9" customHeight="1">
      <c r="B3" s="27"/>
      <c r="C3" s="28"/>
      <c r="D3" s="28"/>
      <c r="E3" s="28"/>
      <c r="F3" s="28"/>
      <c r="G3" s="28"/>
      <c r="H3" s="28"/>
      <c r="I3" s="28"/>
    </row>
    <row r="4" spans="2:9" ht="18">
      <c r="B4" s="27"/>
      <c r="C4" s="28"/>
      <c r="D4" s="28"/>
      <c r="E4" s="28"/>
      <c r="F4" s="28"/>
      <c r="G4" s="28"/>
      <c r="H4" s="28"/>
      <c r="I4" s="28"/>
    </row>
    <row r="5" spans="2:9" ht="18">
      <c r="B5" s="27"/>
      <c r="C5" s="28"/>
      <c r="D5" s="28"/>
      <c r="E5" s="28"/>
      <c r="F5" s="28"/>
      <c r="G5" s="28"/>
      <c r="H5" s="28"/>
      <c r="I5" s="28"/>
    </row>
    <row r="6" spans="2:9" ht="18">
      <c r="B6" s="27"/>
      <c r="C6" s="28"/>
      <c r="D6" s="28"/>
      <c r="E6" s="28"/>
      <c r="F6" s="28"/>
      <c r="G6" s="28"/>
      <c r="H6" s="28"/>
      <c r="I6" s="28"/>
    </row>
    <row r="7" spans="2:9" ht="18">
      <c r="B7" s="27"/>
      <c r="C7" s="28"/>
      <c r="D7" s="28"/>
      <c r="E7" s="28"/>
      <c r="F7" s="28"/>
      <c r="G7" s="28"/>
      <c r="H7" s="28"/>
      <c r="I7" s="28"/>
    </row>
    <row r="8" spans="2:9" ht="18">
      <c r="B8" s="27"/>
      <c r="C8" s="28"/>
      <c r="D8" s="28"/>
      <c r="E8" s="28"/>
      <c r="F8" s="28"/>
      <c r="G8" s="28"/>
      <c r="H8" s="28"/>
      <c r="I8" s="28"/>
    </row>
    <row r="9" spans="2:9" ht="18">
      <c r="B9" s="27"/>
      <c r="C9" s="28"/>
      <c r="D9" s="28"/>
      <c r="E9" s="28"/>
      <c r="F9" s="28"/>
      <c r="G9" s="28"/>
      <c r="H9" s="28"/>
      <c r="I9" s="28"/>
    </row>
    <row r="10" spans="2:9" ht="18">
      <c r="B10" s="27"/>
      <c r="C10" s="28"/>
      <c r="D10" s="28"/>
      <c r="E10" s="28"/>
      <c r="F10" s="28"/>
      <c r="G10" s="28"/>
      <c r="H10" s="28"/>
      <c r="I10" s="28"/>
    </row>
    <row r="11" spans="2:9" ht="18">
      <c r="B11" s="27"/>
      <c r="C11" s="28"/>
      <c r="D11" s="28"/>
      <c r="E11" s="28"/>
      <c r="F11" s="28"/>
      <c r="G11" s="28"/>
      <c r="H11" s="28"/>
      <c r="I11" s="28"/>
    </row>
    <row r="13" spans="2:9" ht="12.75">
      <c r="B13" s="53" t="s">
        <v>54</v>
      </c>
      <c r="C13" s="54"/>
      <c r="D13" s="54"/>
      <c r="E13" s="54"/>
      <c r="F13" s="15" t="s">
        <v>87</v>
      </c>
      <c r="G13" s="15" t="s">
        <v>88</v>
      </c>
      <c r="H13" s="15" t="s">
        <v>89</v>
      </c>
      <c r="I13" s="16" t="s">
        <v>90</v>
      </c>
    </row>
    <row r="14" spans="2:9" ht="12.75">
      <c r="B14" s="17" t="s">
        <v>61</v>
      </c>
      <c r="C14" s="18"/>
      <c r="D14" s="18"/>
      <c r="E14" s="18"/>
      <c r="F14" s="31">
        <f>Cost_of_Retrofit</f>
        <v>150000</v>
      </c>
      <c r="G14" s="18"/>
      <c r="H14" s="18"/>
      <c r="I14" s="19">
        <f>SUM(F14:H14)</f>
        <v>150000</v>
      </c>
    </row>
    <row r="15" spans="2:9" ht="12.75">
      <c r="B15" s="17" t="s">
        <v>55</v>
      </c>
      <c r="C15" s="18"/>
      <c r="D15" s="18"/>
      <c r="E15" s="18"/>
      <c r="F15" s="31">
        <f>F25+F26+F28</f>
        <v>330985</v>
      </c>
      <c r="G15" s="31">
        <f>G25+G26+G28</f>
        <v>370585</v>
      </c>
      <c r="H15" s="31">
        <f>H25+H26+H28</f>
        <v>370085</v>
      </c>
      <c r="I15" s="19">
        <f>SUM(F15:H15)</f>
        <v>1071655</v>
      </c>
    </row>
    <row r="16" spans="2:9" ht="12.75">
      <c r="B16" s="17" t="s">
        <v>56</v>
      </c>
      <c r="C16" s="18"/>
      <c r="D16" s="18"/>
      <c r="E16" s="18"/>
      <c r="F16" s="31">
        <v>0</v>
      </c>
      <c r="G16" s="31">
        <v>0</v>
      </c>
      <c r="H16" s="31">
        <v>0</v>
      </c>
      <c r="I16" s="19">
        <f>SUM(F16:H16)</f>
        <v>0</v>
      </c>
    </row>
    <row r="17" spans="2:9" ht="12.75">
      <c r="B17" s="17" t="s">
        <v>57</v>
      </c>
      <c r="C17" s="18"/>
      <c r="D17" s="18"/>
      <c r="E17" s="18"/>
      <c r="F17" s="31">
        <f>F27</f>
        <v>21000</v>
      </c>
      <c r="G17" s="31">
        <f>G27</f>
        <v>0</v>
      </c>
      <c r="H17" s="31">
        <f>H27</f>
        <v>0</v>
      </c>
      <c r="I17" s="19">
        <f>SUM(F17:H17)</f>
        <v>21000</v>
      </c>
    </row>
    <row r="18" spans="2:13" ht="12.75">
      <c r="B18" s="17" t="s">
        <v>58</v>
      </c>
      <c r="C18" s="18"/>
      <c r="D18" s="18"/>
      <c r="E18" s="36">
        <f>-F14</f>
        <v>-150000</v>
      </c>
      <c r="F18" s="31">
        <f>SUM(F15:F17)</f>
        <v>351985</v>
      </c>
      <c r="G18" s="31">
        <f>SUM(G15:G17)</f>
        <v>370585</v>
      </c>
      <c r="H18" s="31">
        <f>SUM(H15:H17)</f>
        <v>370085</v>
      </c>
      <c r="I18" s="19">
        <f>SUM(F18:H18)</f>
        <v>1092655</v>
      </c>
      <c r="K18" s="1"/>
      <c r="L18" s="1"/>
      <c r="M18" s="1"/>
    </row>
    <row r="19" spans="2:9" ht="12.75">
      <c r="B19" s="47" t="s">
        <v>59</v>
      </c>
      <c r="C19" s="48"/>
      <c r="D19" s="48"/>
      <c r="E19" s="48"/>
      <c r="F19" s="20"/>
      <c r="G19" s="34"/>
      <c r="H19" s="34"/>
      <c r="I19" s="35"/>
    </row>
    <row r="20" spans="2:9" ht="12.75">
      <c r="B20" s="17" t="s">
        <v>60</v>
      </c>
      <c r="C20" s="18"/>
      <c r="D20" s="18"/>
      <c r="E20" s="18"/>
      <c r="F20" s="32">
        <f>Estimated_Savings/ROI_Investment</f>
        <v>7.284366666666667</v>
      </c>
      <c r="G20" s="18"/>
      <c r="H20" s="18"/>
      <c r="I20" s="22"/>
    </row>
    <row r="21" spans="2:9" ht="12.75">
      <c r="B21" s="21" t="s">
        <v>62</v>
      </c>
      <c r="C21" s="18"/>
      <c r="D21" s="18"/>
      <c r="E21" s="18"/>
      <c r="F21" s="40">
        <f>F14/(Estimated_Savings/3)*12</f>
        <v>4.942090595842237</v>
      </c>
      <c r="G21" s="18"/>
      <c r="H21" s="18"/>
      <c r="I21" s="22"/>
    </row>
    <row r="22" spans="2:9" ht="12.75">
      <c r="B22" s="17" t="s">
        <v>63</v>
      </c>
      <c r="C22" s="43">
        <v>0.074</v>
      </c>
      <c r="D22" s="18"/>
      <c r="E22" s="37" t="s">
        <v>64</v>
      </c>
      <c r="F22" s="31">
        <f>NPV(Discount_Rate,F18,G18,H18)</f>
        <v>947746.2479324013</v>
      </c>
      <c r="G22" s="18"/>
      <c r="H22" s="18"/>
      <c r="I22" s="22"/>
    </row>
    <row r="23" spans="2:9" ht="12.75">
      <c r="B23" s="17" t="s">
        <v>65</v>
      </c>
      <c r="C23" s="18"/>
      <c r="D23" s="18"/>
      <c r="E23" s="18"/>
      <c r="F23" s="32">
        <f>IRR(E18:H18)</f>
        <v>2.3159921806248387</v>
      </c>
      <c r="G23" s="18"/>
      <c r="H23" s="18"/>
      <c r="I23" s="22"/>
    </row>
    <row r="24" spans="2:9" ht="12.75">
      <c r="B24" s="47" t="s">
        <v>66</v>
      </c>
      <c r="C24" s="48"/>
      <c r="D24" s="48"/>
      <c r="E24" s="48"/>
      <c r="F24" s="15" t="s">
        <v>87</v>
      </c>
      <c r="G24" s="15" t="s">
        <v>88</v>
      </c>
      <c r="H24" s="15" t="s">
        <v>89</v>
      </c>
      <c r="I24" s="16" t="s">
        <v>90</v>
      </c>
    </row>
    <row r="25" spans="2:9" ht="12.75">
      <c r="B25" s="17" t="s">
        <v>69</v>
      </c>
      <c r="C25" s="18"/>
      <c r="D25" s="18"/>
      <c r="E25" s="18"/>
      <c r="F25" s="31">
        <f>AR_Cycle_Time_Cost_Savings_Per_Year</f>
        <v>158400</v>
      </c>
      <c r="G25" s="31">
        <f>'Start Screen'!G84</f>
        <v>198000</v>
      </c>
      <c r="H25" s="31">
        <f>'Start Screen'!G84</f>
        <v>198000</v>
      </c>
      <c r="I25" s="19">
        <f>SUM(F25:H25)</f>
        <v>554400</v>
      </c>
    </row>
    <row r="26" spans="2:9" ht="12.75">
      <c r="B26" s="17" t="s">
        <v>103</v>
      </c>
      <c r="C26" s="18"/>
      <c r="D26" s="18"/>
      <c r="E26" s="18"/>
      <c r="F26" s="31">
        <f>AR_Labor_Cost_Savings</f>
        <v>168000</v>
      </c>
      <c r="G26" s="31">
        <f>AR_Labor_Cost_Savings</f>
        <v>168000</v>
      </c>
      <c r="H26" s="31">
        <f>AR_Labor_Cost_Savings</f>
        <v>168000</v>
      </c>
      <c r="I26" s="19">
        <f>SUM(F26:H26)</f>
        <v>504000</v>
      </c>
    </row>
    <row r="27" spans="2:9" ht="12.75">
      <c r="B27" s="17" t="s">
        <v>67</v>
      </c>
      <c r="C27" s="18"/>
      <c r="D27" s="18"/>
      <c r="E27" s="18"/>
      <c r="F27" s="31">
        <f>'Start Screen'!G130</f>
        <v>21000</v>
      </c>
      <c r="G27" s="31">
        <v>0</v>
      </c>
      <c r="H27" s="31">
        <v>0</v>
      </c>
      <c r="I27" s="19">
        <f>SUM(F27:H27)</f>
        <v>21000</v>
      </c>
    </row>
    <row r="28" spans="2:9" ht="12.75">
      <c r="B28" s="17" t="s">
        <v>68</v>
      </c>
      <c r="C28" s="18"/>
      <c r="D28" s="18"/>
      <c r="E28" s="18"/>
      <c r="F28" s="31">
        <f>AR_Maintenance_Cost_Savings_Y1</f>
        <v>4585</v>
      </c>
      <c r="G28" s="31">
        <f>AR_Maintenance_Cost_Savings_Y2</f>
        <v>4585</v>
      </c>
      <c r="H28" s="31">
        <f>AR_Maintenance_Cost_Savings_Y3</f>
        <v>4085</v>
      </c>
      <c r="I28" s="19">
        <f>SUM(F28:H28)</f>
        <v>13255</v>
      </c>
    </row>
    <row r="29" spans="2:9" ht="12.75">
      <c r="B29" s="24" t="s">
        <v>70</v>
      </c>
      <c r="C29" s="23"/>
      <c r="D29" s="23"/>
      <c r="E29" s="23"/>
      <c r="F29" s="33">
        <f>SUM(F25:F28)</f>
        <v>351985</v>
      </c>
      <c r="G29" s="33">
        <f>SUM(G25:G28)</f>
        <v>370585</v>
      </c>
      <c r="H29" s="33">
        <f>SUM(H25:H28)</f>
        <v>370085</v>
      </c>
      <c r="I29" s="33">
        <f>SUM(I25:I28)</f>
        <v>1092655</v>
      </c>
    </row>
    <row r="48" ht="9.75" customHeight="1">
      <c r="G48" s="39" t="s">
        <v>83</v>
      </c>
    </row>
    <row r="49" ht="9.75" customHeight="1">
      <c r="G49" s="38" t="s">
        <v>84</v>
      </c>
    </row>
    <row r="50" ht="9.75" customHeight="1">
      <c r="G50" s="38" t="s">
        <v>85</v>
      </c>
    </row>
  </sheetData>
  <sheetProtection sheet="1" objects="1" scenarios="1"/>
  <mergeCells count="5">
    <mergeCell ref="B24:E24"/>
    <mergeCell ref="B1:I1"/>
    <mergeCell ref="B2:I2"/>
    <mergeCell ref="B13:E13"/>
    <mergeCell ref="B19:E19"/>
  </mergeCells>
  <printOptions/>
  <pageMargins left="0.75" right="0.75" top="1" bottom="0.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J156"/>
  <sheetViews>
    <sheetView tabSelected="1" zoomScale="150" zoomScaleNormal="150" workbookViewId="0" topLeftCell="A1">
      <selection activeCell="C14" sqref="C14:G14"/>
    </sheetView>
  </sheetViews>
  <sheetFormatPr defaultColWidth="9.140625" defaultRowHeight="12.75"/>
  <cols>
    <col min="1" max="1" width="7.8515625" style="0" customWidth="1"/>
    <col min="2" max="2" width="9.421875" style="0" customWidth="1"/>
    <col min="5" max="5" width="5.140625" style="0" customWidth="1"/>
    <col min="7" max="7" width="13.140625" style="0" customWidth="1"/>
    <col min="8" max="8" width="4.8515625" style="0" customWidth="1"/>
    <col min="9" max="9" width="13.140625" style="0" customWidth="1"/>
  </cols>
  <sheetData>
    <row r="3" ht="18">
      <c r="D3" s="2" t="s">
        <v>0</v>
      </c>
    </row>
    <row r="4" spans="4:7" ht="18">
      <c r="D4" s="3" t="s">
        <v>1</v>
      </c>
      <c r="E4" s="3"/>
      <c r="F4" s="3"/>
      <c r="G4" s="3"/>
    </row>
    <row r="7" ht="12.75">
      <c r="A7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2" spans="1:3" ht="12.75">
      <c r="A12" s="4" t="s">
        <v>6</v>
      </c>
      <c r="B12" s="64">
        <f ca="1">TODAY()</f>
        <v>39637</v>
      </c>
      <c r="C12" s="65"/>
    </row>
    <row r="13" ht="12.75">
      <c r="A13" s="4"/>
    </row>
    <row r="14" spans="1:7" ht="12.75">
      <c r="A14" s="4" t="s">
        <v>8</v>
      </c>
      <c r="C14" s="61" t="s">
        <v>107</v>
      </c>
      <c r="D14" s="70"/>
      <c r="E14" s="70"/>
      <c r="F14" s="70"/>
      <c r="G14" s="71"/>
    </row>
    <row r="15" ht="12.75">
      <c r="A15" s="4"/>
    </row>
    <row r="16" spans="1:7" ht="12.75">
      <c r="A16" s="4" t="s">
        <v>7</v>
      </c>
      <c r="C16" s="61" t="s">
        <v>109</v>
      </c>
      <c r="D16" s="70"/>
      <c r="E16" s="70"/>
      <c r="F16" s="70"/>
      <c r="G16" s="71"/>
    </row>
    <row r="17" ht="12.75">
      <c r="A17" s="4"/>
    </row>
    <row r="18" spans="1:7" ht="12.75">
      <c r="A18" s="4" t="s">
        <v>9</v>
      </c>
      <c r="C18" s="61" t="s">
        <v>111</v>
      </c>
      <c r="D18" s="70"/>
      <c r="E18" s="70"/>
      <c r="F18" s="70"/>
      <c r="G18" s="71"/>
    </row>
    <row r="19" ht="12.75">
      <c r="A19" s="4"/>
    </row>
    <row r="20" spans="1:7" ht="12.75">
      <c r="A20" s="4" t="s">
        <v>10</v>
      </c>
      <c r="B20" s="61" t="s">
        <v>114</v>
      </c>
      <c r="C20" s="71"/>
      <c r="D20" s="5" t="s">
        <v>11</v>
      </c>
      <c r="E20" s="6" t="s">
        <v>115</v>
      </c>
      <c r="F20" s="5" t="s">
        <v>12</v>
      </c>
      <c r="G20" s="6">
        <v>12345</v>
      </c>
    </row>
    <row r="21" ht="12.75">
      <c r="A21" s="4"/>
    </row>
    <row r="22" spans="1:5" ht="12.75">
      <c r="A22" s="4" t="s">
        <v>81</v>
      </c>
      <c r="C22" s="67" t="s">
        <v>118</v>
      </c>
      <c r="D22" s="68"/>
      <c r="E22" s="69"/>
    </row>
    <row r="23" spans="1:5" ht="12.75">
      <c r="A23" s="4"/>
      <c r="C23" s="26"/>
      <c r="D23" s="25"/>
      <c r="E23" s="25"/>
    </row>
    <row r="24" spans="1:7" ht="12.75">
      <c r="A24" s="4" t="s">
        <v>80</v>
      </c>
      <c r="C24" s="61" t="s">
        <v>105</v>
      </c>
      <c r="D24" s="62"/>
      <c r="E24" s="62"/>
      <c r="F24" s="62"/>
      <c r="G24" s="63"/>
    </row>
    <row r="26" spans="1:10" ht="12.75">
      <c r="A26" s="66" t="s">
        <v>13</v>
      </c>
      <c r="B26" s="66"/>
      <c r="C26" s="66"/>
      <c r="D26" s="66"/>
      <c r="E26" s="66"/>
      <c r="F26" s="66"/>
      <c r="G26" s="66"/>
      <c r="H26" s="66"/>
      <c r="I26" s="66"/>
      <c r="J26" s="66"/>
    </row>
    <row r="28" spans="2:9" ht="12.75">
      <c r="B28" s="58" t="s">
        <v>14</v>
      </c>
      <c r="C28" s="58"/>
      <c r="D28" s="58"/>
      <c r="E28" s="58"/>
      <c r="F28" s="58"/>
      <c r="G28" s="58"/>
      <c r="H28" s="58"/>
      <c r="I28" s="58"/>
    </row>
    <row r="30" spans="2:9" ht="12.75">
      <c r="B30" s="58" t="s">
        <v>33</v>
      </c>
      <c r="C30" s="58"/>
      <c r="D30" s="58"/>
      <c r="E30" s="58"/>
      <c r="F30" s="58"/>
      <c r="G30" s="58"/>
      <c r="H30" s="58"/>
      <c r="I30" s="58"/>
    </row>
    <row r="32" spans="2:9" ht="12.75">
      <c r="B32" s="58" t="s">
        <v>53</v>
      </c>
      <c r="C32" s="58"/>
      <c r="D32" s="58"/>
      <c r="E32" s="58"/>
      <c r="F32" s="58"/>
      <c r="G32" s="58"/>
      <c r="H32" s="58"/>
      <c r="I32" s="58"/>
    </row>
    <row r="34" spans="2:9" ht="12.75">
      <c r="B34" s="58" t="s">
        <v>93</v>
      </c>
      <c r="C34" s="58"/>
      <c r="D34" s="58"/>
      <c r="E34" s="58"/>
      <c r="F34" s="58"/>
      <c r="G34" s="58"/>
      <c r="H34" s="58"/>
      <c r="I34" s="58"/>
    </row>
    <row r="37" spans="1:10" ht="12.75">
      <c r="A37" s="66" t="s">
        <v>15</v>
      </c>
      <c r="B37" s="66"/>
      <c r="C37" s="66"/>
      <c r="D37" s="66"/>
      <c r="E37" s="66"/>
      <c r="F37" s="66"/>
      <c r="G37" s="66"/>
      <c r="H37" s="66"/>
      <c r="I37" s="66"/>
      <c r="J37" s="66"/>
    </row>
    <row r="39" spans="1:9" ht="12.75">
      <c r="A39" s="57" t="s">
        <v>97</v>
      </c>
      <c r="B39" s="57"/>
      <c r="C39" s="57"/>
      <c r="D39" s="57"/>
      <c r="E39" s="57"/>
      <c r="F39" s="57"/>
      <c r="I39" s="9">
        <v>24</v>
      </c>
    </row>
    <row r="40" spans="1:6" ht="12.75">
      <c r="A40" s="57"/>
      <c r="B40" s="57"/>
      <c r="C40" s="57"/>
      <c r="D40" s="57"/>
      <c r="E40" s="57"/>
      <c r="F40" s="57"/>
    </row>
    <row r="42" spans="1:9" ht="12.75">
      <c r="A42" s="57" t="s">
        <v>16</v>
      </c>
      <c r="B42" s="57"/>
      <c r="C42" s="57"/>
      <c r="D42" s="57"/>
      <c r="E42" s="57"/>
      <c r="F42" s="57"/>
      <c r="I42" s="9">
        <v>20</v>
      </c>
    </row>
    <row r="43" spans="1:6" ht="12.75">
      <c r="A43" s="57"/>
      <c r="B43" s="57"/>
      <c r="C43" s="57"/>
      <c r="D43" s="57"/>
      <c r="E43" s="57"/>
      <c r="F43" s="57"/>
    </row>
    <row r="45" spans="1:9" ht="12.75">
      <c r="A45" t="s">
        <v>17</v>
      </c>
      <c r="I45" s="9">
        <v>300</v>
      </c>
    </row>
    <row r="47" spans="1:9" ht="12.75">
      <c r="A47" t="s">
        <v>18</v>
      </c>
      <c r="I47" s="9">
        <v>34</v>
      </c>
    </row>
    <row r="49" spans="1:9" ht="12.75">
      <c r="A49" t="s">
        <v>19</v>
      </c>
      <c r="I49" s="12">
        <v>150</v>
      </c>
    </row>
    <row r="51" spans="1:7" ht="12.75">
      <c r="A51" t="s">
        <v>35</v>
      </c>
      <c r="G51" s="11">
        <f>IF(Parts_Produced_Per_Day&lt;&gt;"",Machining_Hours_Per_Day*Process_Burden_Rate/Parts_Produced_Per_Day,"")</f>
        <v>88.23529411764706</v>
      </c>
    </row>
    <row r="53" spans="1:9" ht="12.75">
      <c r="A53" s="60" t="s">
        <v>34</v>
      </c>
      <c r="B53" s="60"/>
      <c r="C53" s="60"/>
      <c r="D53" s="60"/>
      <c r="E53" s="60"/>
      <c r="F53" s="60"/>
      <c r="I53" s="9">
        <v>200</v>
      </c>
    </row>
    <row r="54" spans="1:6" ht="12.75">
      <c r="A54" s="60"/>
      <c r="B54" s="60"/>
      <c r="C54" s="60"/>
      <c r="D54" s="60"/>
      <c r="E54" s="60"/>
      <c r="F54" s="60"/>
    </row>
    <row r="56" spans="1:7" ht="12.75">
      <c r="A56" s="60" t="s">
        <v>36</v>
      </c>
      <c r="B56" s="60"/>
      <c r="C56" s="60"/>
      <c r="D56" s="60"/>
      <c r="E56" s="60"/>
      <c r="F56" s="60"/>
      <c r="G56" s="10">
        <f>IF(AND(BR_Number_of_Production_Hours_Lost&lt;&gt;"",Machining_Hours_Per_Day&lt;&gt;""),BR_Number_of_Production_Hours_Lost/Machining_Hours_Per_Day,0)</f>
        <v>10</v>
      </c>
    </row>
    <row r="57" spans="1:6" ht="12.75">
      <c r="A57" s="60"/>
      <c r="B57" s="60"/>
      <c r="C57" s="60"/>
      <c r="D57" s="60"/>
      <c r="E57" s="60"/>
      <c r="F57" s="60"/>
    </row>
    <row r="59" spans="1:9" ht="12.75">
      <c r="A59" s="57" t="s">
        <v>26</v>
      </c>
      <c r="B59" s="57"/>
      <c r="C59" s="57"/>
      <c r="D59" s="57"/>
      <c r="E59" s="57"/>
      <c r="F59" s="57"/>
      <c r="I59" s="9">
        <v>60</v>
      </c>
    </row>
    <row r="60" spans="1:6" ht="12.75">
      <c r="A60" s="57"/>
      <c r="B60" s="57"/>
      <c r="C60" s="57"/>
      <c r="D60" s="57"/>
      <c r="E60" s="57"/>
      <c r="F60" s="57"/>
    </row>
    <row r="61" spans="1:6" ht="12.75">
      <c r="A61" s="8"/>
      <c r="B61" s="8"/>
      <c r="C61" s="8"/>
      <c r="D61" s="8"/>
      <c r="E61" s="8"/>
      <c r="F61" s="8"/>
    </row>
    <row r="62" spans="1:9" ht="12.75">
      <c r="A62" s="7" t="s">
        <v>29</v>
      </c>
      <c r="B62" s="8"/>
      <c r="C62" s="8"/>
      <c r="D62" s="8"/>
      <c r="E62" s="8"/>
      <c r="F62" s="8"/>
      <c r="I62" s="12">
        <v>150000</v>
      </c>
    </row>
    <row r="64" spans="1:10" ht="27" customHeight="1">
      <c r="A64" s="55" t="s">
        <v>31</v>
      </c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9" ht="12.75">
      <c r="A66" s="57" t="s">
        <v>20</v>
      </c>
      <c r="B66" s="57"/>
      <c r="C66" s="57"/>
      <c r="D66" s="57"/>
      <c r="E66" s="57"/>
      <c r="F66" s="57"/>
      <c r="I66" s="30">
        <v>0.22</v>
      </c>
    </row>
    <row r="67" spans="1:6" ht="12.75">
      <c r="A67" s="57"/>
      <c r="B67" s="57"/>
      <c r="C67" s="57"/>
      <c r="D67" s="57"/>
      <c r="E67" s="57"/>
      <c r="F67" s="57"/>
    </row>
    <row r="69" spans="2:9" ht="12.75">
      <c r="B69" s="73" t="s">
        <v>21</v>
      </c>
      <c r="C69" s="74"/>
      <c r="D69" s="74"/>
      <c r="E69" s="74"/>
      <c r="F69" s="74"/>
      <c r="G69" s="74"/>
      <c r="H69" s="74"/>
      <c r="I69" s="74"/>
    </row>
    <row r="70" spans="2:9" ht="12.75">
      <c r="B70" s="74"/>
      <c r="C70" s="74"/>
      <c r="D70" s="74"/>
      <c r="E70" s="74"/>
      <c r="F70" s="74"/>
      <c r="G70" s="74"/>
      <c r="H70" s="74"/>
      <c r="I70" s="74"/>
    </row>
    <row r="72" spans="1:7" ht="12.75">
      <c r="A72" t="s">
        <v>22</v>
      </c>
      <c r="G72" s="10">
        <f>IF(Cycle_Time_Improvement&lt;&gt;"",Parts_Produced_Per_Day*(1+Cycle_Time_Improvement),"")</f>
        <v>41.48</v>
      </c>
    </row>
    <row r="74" spans="1:7" ht="12.75">
      <c r="A74" t="s">
        <v>23</v>
      </c>
      <c r="G74" s="11">
        <f>IF(AND(AR_Parts_Produced_Per_Day&lt;&gt;"",AR_Parts_Produced_Per_Day&lt;&gt;0),Machining_Hours_Per_Day*Process_Burden_Rate/AR_Parts_Produced_Per_Day,"")</f>
        <v>72.32401157184185</v>
      </c>
    </row>
    <row r="76" spans="1:7" ht="12.75">
      <c r="A76" t="s">
        <v>24</v>
      </c>
      <c r="G76" s="11">
        <f>IF(AND(BR_Cost_Per_Part&lt;&gt;"",AR_Cost_Per_Part&lt;&gt;""),BR_Cost_Per_Part-AR_Cost_Per_Part,"")</f>
        <v>15.911282545805207</v>
      </c>
    </row>
    <row r="78" spans="1:7" ht="12.75">
      <c r="A78" t="s">
        <v>25</v>
      </c>
      <c r="G78" s="11">
        <f>IF(AND(Cost_Savings_Per_Part&lt;&gt;"",AR_Parts_Produced_Per_Day),Cost_Savings_Per_Part*AR_Parts_Produced_Per_Day,"")</f>
        <v>660</v>
      </c>
    </row>
    <row r="80" spans="1:7" ht="12.75">
      <c r="A80" t="s">
        <v>28</v>
      </c>
      <c r="G80" s="10">
        <f>IF(AND(Machining_Days_Per_Year&lt;&gt;"",Production_Days_Lost_For_Retrofit&lt;&gt;""),Machining_Days_Per_Year-Production_Days_Lost_For_Retrofit,"")</f>
        <v>240</v>
      </c>
    </row>
    <row r="82" spans="1:7" ht="12.75">
      <c r="A82" t="s">
        <v>27</v>
      </c>
      <c r="G82" s="14">
        <f>IF(AND(AR_Cycle_Time_Cost_Savings_Per_Day&lt;&gt;"",AR_Production_Days_First_Year&lt;&gt;""),AR_Cycle_Time_Cost_Savings_Per_Day*AR_Production_Days_First_Year,"")</f>
        <v>158400</v>
      </c>
    </row>
    <row r="84" spans="1:7" ht="12.75">
      <c r="A84" t="s">
        <v>30</v>
      </c>
      <c r="G84" s="14">
        <f>IF(AND(AR_Cycle_Time_Cost_Savings_Per_Day&lt;&gt;"",Machining_Days_Per_Year&lt;&gt;""),AR_Cycle_Time_Cost_Savings_Per_Day*Machining_Days_Per_Year,"")</f>
        <v>198000</v>
      </c>
    </row>
    <row r="87" spans="1:10" ht="26.25" customHeight="1">
      <c r="A87" s="55" t="s">
        <v>32</v>
      </c>
      <c r="B87" s="55"/>
      <c r="C87" s="55"/>
      <c r="D87" s="55"/>
      <c r="E87" s="55"/>
      <c r="F87" s="55"/>
      <c r="G87" s="55"/>
      <c r="H87" s="55"/>
      <c r="I87" s="55"/>
      <c r="J87" s="55"/>
    </row>
    <row r="89" spans="1:9" ht="12.75">
      <c r="A89" s="59" t="s">
        <v>38</v>
      </c>
      <c r="B89" s="59"/>
      <c r="C89" s="59"/>
      <c r="D89" s="59"/>
      <c r="E89" s="59"/>
      <c r="F89" s="59"/>
      <c r="I89" s="12">
        <v>12000</v>
      </c>
    </row>
    <row r="90" spans="1:6" ht="12.75">
      <c r="A90" s="59"/>
      <c r="B90" s="59"/>
      <c r="C90" s="59"/>
      <c r="D90" s="59"/>
      <c r="E90" s="59"/>
      <c r="F90" s="59"/>
    </row>
    <row r="92" spans="1:9" ht="12.75">
      <c r="A92" t="s">
        <v>37</v>
      </c>
      <c r="I92" s="12">
        <v>6000</v>
      </c>
    </row>
    <row r="94" spans="1:9" ht="12.75">
      <c r="A94" t="s">
        <v>39</v>
      </c>
      <c r="I94" s="9">
        <v>200</v>
      </c>
    </row>
    <row r="96" spans="1:9" ht="12.75">
      <c r="A96" t="s">
        <v>40</v>
      </c>
      <c r="I96" s="12">
        <v>85</v>
      </c>
    </row>
    <row r="98" spans="1:7" ht="12.75">
      <c r="A98" t="s">
        <v>41</v>
      </c>
      <c r="G98" s="11">
        <f>IF(AND(BR_Internal_CNC_Services_Hours_Per_Year&lt;&gt;"",CNC_Internal_Services_Rate&lt;&gt;""),BR_Internal_CNC_Services_Hours_Per_Year*CNC_Internal_Services_Rate,"")</f>
        <v>17000</v>
      </c>
    </row>
    <row r="100" spans="1:7" ht="12.75">
      <c r="A100" t="s">
        <v>44</v>
      </c>
      <c r="G100" s="11">
        <f>IF(AND(BR_CNC_Contract_Services_Costs&lt;&gt;"",AND(BR_Internal_CNC_Services_Hours_Per_Year&lt;&gt;"",CNC_Internal_Services_Rate&lt;&gt;"")),BR_CNC_Contract_Services_Costs+BR_Internal_CNC_Services_Hours_Per_Year+CNC_Internal_Services_Rate,"")</f>
        <v>6285</v>
      </c>
    </row>
    <row r="101" ht="12.75">
      <c r="G101" s="29"/>
    </row>
    <row r="102" spans="2:9" ht="12.75">
      <c r="B102" s="73" t="s">
        <v>82</v>
      </c>
      <c r="C102" s="74"/>
      <c r="D102" s="74"/>
      <c r="E102" s="74"/>
      <c r="F102" s="74"/>
      <c r="G102" s="74"/>
      <c r="H102" s="74"/>
      <c r="I102" s="74"/>
    </row>
    <row r="103" spans="2:9" ht="12.75">
      <c r="B103" s="74"/>
      <c r="C103" s="74"/>
      <c r="D103" s="74"/>
      <c r="E103" s="74"/>
      <c r="F103" s="74"/>
      <c r="G103" s="74"/>
      <c r="H103" s="74"/>
      <c r="I103" s="74"/>
    </row>
    <row r="104" spans="2:9" ht="12.75">
      <c r="B104" s="13"/>
      <c r="C104" s="13"/>
      <c r="D104" s="13"/>
      <c r="E104" s="13"/>
      <c r="F104" s="13"/>
      <c r="G104" s="13"/>
      <c r="H104" s="13"/>
      <c r="I104" s="13"/>
    </row>
    <row r="105" spans="1:9" ht="12.75">
      <c r="A105" s="59" t="s">
        <v>42</v>
      </c>
      <c r="B105" s="59"/>
      <c r="C105" s="59"/>
      <c r="D105" s="59"/>
      <c r="E105" s="59"/>
      <c r="F105" s="59"/>
      <c r="I105" s="12">
        <v>500</v>
      </c>
    </row>
    <row r="106" spans="1:6" ht="12.75">
      <c r="A106" s="59"/>
      <c r="B106" s="59"/>
      <c r="C106" s="59"/>
      <c r="D106" s="59"/>
      <c r="E106" s="59"/>
      <c r="F106" s="59"/>
    </row>
    <row r="108" spans="1:9" ht="12.75">
      <c r="A108" s="59" t="s">
        <v>43</v>
      </c>
      <c r="B108" s="59"/>
      <c r="C108" s="59"/>
      <c r="D108" s="59"/>
      <c r="E108" s="59"/>
      <c r="F108" s="59"/>
      <c r="I108" s="12">
        <v>0</v>
      </c>
    </row>
    <row r="109" spans="1:6" ht="12.75">
      <c r="A109" s="59"/>
      <c r="B109" s="59"/>
      <c r="C109" s="59"/>
      <c r="D109" s="59"/>
      <c r="E109" s="59"/>
      <c r="F109" s="59"/>
    </row>
    <row r="111" spans="1:9" ht="12.75">
      <c r="A111" s="57" t="s">
        <v>45</v>
      </c>
      <c r="B111" s="57"/>
      <c r="C111" s="57"/>
      <c r="D111" s="57"/>
      <c r="E111" s="57"/>
      <c r="F111" s="57"/>
      <c r="I111" s="9">
        <v>20</v>
      </c>
    </row>
    <row r="112" spans="1:6" ht="12.75">
      <c r="A112" s="57"/>
      <c r="B112" s="57"/>
      <c r="C112" s="57"/>
      <c r="D112" s="57"/>
      <c r="E112" s="57"/>
      <c r="F112" s="57"/>
    </row>
    <row r="114" spans="1:7" ht="12.75">
      <c r="A114" t="s">
        <v>46</v>
      </c>
      <c r="G114" s="11">
        <f>IF(AND(AR_Internal_CNC_Services_Hours_Per_Year&lt;&gt;"",CNC_Internal_Services_Rate&lt;&gt;""),AR_Internal_CNC_Services_Hours_Per_Year*CNC_Internal_Services_Rate,"")</f>
        <v>1700</v>
      </c>
    </row>
    <row r="116" spans="1:7" ht="12.75">
      <c r="A116" t="s">
        <v>47</v>
      </c>
      <c r="G116" s="11">
        <f>IF(AND(BR_Total_CNC_Maintenance_Costs&lt;&gt;"",AR_Internal_Services_Costs&lt;&gt;""),BR_Total_CNC_Maintenance_Costs-AR_Internal_Services_Costs,"")</f>
        <v>4585</v>
      </c>
    </row>
    <row r="118" spans="1:7" ht="12.75">
      <c r="A118" t="s">
        <v>48</v>
      </c>
      <c r="G118" s="11">
        <f>IF(AND(BR_Total_CNC_Maintenance_Costs&lt;&gt;"",AR_Internal_Services_Costs&lt;&gt;""),BR_Total_CNC_Maintenance_Costs-AR_Internal_Services_Costs,"")</f>
        <v>4585</v>
      </c>
    </row>
    <row r="120" spans="1:7" ht="12.75">
      <c r="A120" t="s">
        <v>49</v>
      </c>
      <c r="G120" s="11">
        <f>IF(AND(BR_Total_CNC_Maintenance_Costs&lt;&gt;"",AND(AR_CNC_Parts_Costs&lt;&gt;"",AND(AR_CNC_Contract_Services_Costs&lt;&gt;"",AR_Internal_Services_Costs&lt;&gt;""))),BR_Total_CNC_Maintenance_Costs-AR_CNC_Parts_Costs-AR_CNC_Contract_Services_Costs-AR_Internal_Services_Costs,"")</f>
        <v>4085</v>
      </c>
    </row>
    <row r="122" spans="1:7" ht="12.75">
      <c r="A122" t="s">
        <v>50</v>
      </c>
      <c r="G122" s="11">
        <f>IF(AND(AR_Maintenance_Cost_Savings_Y1,AND(AR_Maintenance_Cost_Savings_Y2&lt;&gt;"",AR_Maintenance_Cost_Savings_Y3&lt;&gt;"")),AR_Maintenance_Cost_Savings_Y1+AR_Maintenance_Cost_Savings_Y2+AR_Maintenance_Cost_Savings_Y3,"")</f>
        <v>13255</v>
      </c>
    </row>
    <row r="124" spans="1:10" ht="25.5" customHeight="1">
      <c r="A124" s="56" t="s">
        <v>91</v>
      </c>
      <c r="B124" s="56"/>
      <c r="C124" s="56"/>
      <c r="D124" s="56"/>
      <c r="E124" s="56"/>
      <c r="F124" s="56"/>
      <c r="G124" s="56"/>
      <c r="H124" s="56"/>
      <c r="I124" s="56"/>
      <c r="J124" s="56"/>
    </row>
    <row r="126" spans="1:9" ht="12.75">
      <c r="A126" t="s">
        <v>52</v>
      </c>
      <c r="I126" s="12">
        <v>3000</v>
      </c>
    </row>
    <row r="128" spans="1:9" ht="12.75">
      <c r="A128" t="s">
        <v>51</v>
      </c>
      <c r="I128" s="12">
        <v>18000</v>
      </c>
    </row>
    <row r="130" spans="1:7" ht="12.75">
      <c r="A130" s="57" t="s">
        <v>86</v>
      </c>
      <c r="B130" s="57"/>
      <c r="C130" s="57"/>
      <c r="D130" s="57"/>
      <c r="E130" s="57"/>
      <c r="F130" s="57"/>
      <c r="G130" s="11">
        <f>Value_of_Old_CNC+Value_of_Old_CNC_Parts</f>
        <v>21000</v>
      </c>
    </row>
    <row r="131" spans="1:6" ht="12.75">
      <c r="A131" s="57"/>
      <c r="B131" s="57"/>
      <c r="C131" s="57"/>
      <c r="D131" s="57"/>
      <c r="E131" s="57"/>
      <c r="F131" s="57"/>
    </row>
    <row r="137" spans="1:10" ht="25.5" customHeight="1">
      <c r="A137" s="56" t="s">
        <v>92</v>
      </c>
      <c r="B137" s="56"/>
      <c r="C137" s="56"/>
      <c r="D137" s="56"/>
      <c r="E137" s="56"/>
      <c r="F137" s="56"/>
      <c r="G137" s="56"/>
      <c r="H137" s="56"/>
      <c r="I137" s="56"/>
      <c r="J137" s="56"/>
    </row>
    <row r="139" spans="1:9" ht="12.75">
      <c r="A139" t="s">
        <v>94</v>
      </c>
      <c r="I139" s="12">
        <v>35</v>
      </c>
    </row>
    <row r="141" spans="1:9" ht="12.75">
      <c r="A141" t="s">
        <v>95</v>
      </c>
      <c r="I141" s="9">
        <v>1</v>
      </c>
    </row>
    <row r="143" spans="1:7" ht="12.75">
      <c r="A143" t="s">
        <v>96</v>
      </c>
      <c r="G143" s="11">
        <f>IF(AND(Operator_Hourly_Rate&lt;&gt;"",AND(BR_Operator_Hours_Per_Day&lt;&gt;"",AND(Machining_Days_Per_Year&lt;&gt;"",BR_Number_of_Machines_Managed&lt;&gt;""))),Operator_Hourly_Rate*BR_Operator_Hours_Per_Day*Machining_Days_Per_Year/BR_Number_of_Machines_Managed,"")</f>
        <v>252000</v>
      </c>
    </row>
    <row r="145" spans="1:9" ht="12.75">
      <c r="A145" s="57" t="s">
        <v>98</v>
      </c>
      <c r="B145" s="57"/>
      <c r="C145" s="57"/>
      <c r="D145" s="57"/>
      <c r="E145" s="57"/>
      <c r="F145" s="57"/>
      <c r="I145" s="9">
        <v>8</v>
      </c>
    </row>
    <row r="146" spans="1:6" ht="12.75">
      <c r="A146" s="57"/>
      <c r="B146" s="57"/>
      <c r="C146" s="57"/>
      <c r="D146" s="57"/>
      <c r="E146" s="57"/>
      <c r="F146" s="57"/>
    </row>
    <row r="148" spans="1:7" ht="12.75">
      <c r="A148" t="s">
        <v>99</v>
      </c>
      <c r="G148" s="10">
        <f>BR_Operator_Hours_Per_Day-AR_Unmanned_Hours</f>
        <v>16</v>
      </c>
    </row>
    <row r="150" spans="1:9" ht="12.75">
      <c r="A150" s="57" t="s">
        <v>100</v>
      </c>
      <c r="B150" s="57"/>
      <c r="C150" s="57"/>
      <c r="D150" s="57"/>
      <c r="E150" s="57"/>
      <c r="F150" s="57"/>
      <c r="I150" s="9">
        <v>2</v>
      </c>
    </row>
    <row r="151" spans="1:6" ht="12.75">
      <c r="A151" s="57"/>
      <c r="B151" s="57"/>
      <c r="C151" s="57"/>
      <c r="D151" s="57"/>
      <c r="E151" s="57"/>
      <c r="F151" s="57"/>
    </row>
    <row r="153" spans="1:7" ht="12.75">
      <c r="A153" s="72" t="s">
        <v>101</v>
      </c>
      <c r="B153" s="72"/>
      <c r="C153" s="72"/>
      <c r="D153" s="72"/>
      <c r="E153" s="72"/>
      <c r="F153" s="72"/>
      <c r="G153" s="11">
        <f>IF(AND(Operator_Hourly_Rate&lt;&gt;"",AND(AR_Operator_Hours_Per_Day&lt;&gt;"",AND(Machining_Days_Per_Year&lt;&gt;"",AR_Number_of_Machines_Managed&lt;&gt;""))),Operator_Hourly_Rate*AR_Operator_Hours_Per_Day*Machining_Days_Per_Year/AR_Number_of_Machines_Managed,"")</f>
        <v>84000</v>
      </c>
    </row>
    <row r="154" spans="1:6" ht="12.75">
      <c r="A154" s="72"/>
      <c r="B154" s="72"/>
      <c r="C154" s="72"/>
      <c r="D154" s="72"/>
      <c r="E154" s="72"/>
      <c r="F154" s="72"/>
    </row>
    <row r="156" spans="1:7" ht="12.75">
      <c r="A156" t="s">
        <v>102</v>
      </c>
      <c r="G156" s="11">
        <f>IF(AND(BR_Annual_Labor_Costs&lt;&gt;"",AR_Annual_Labor_Costs&lt;&gt;""),BR_Annual_Labor_Costs-AR_Annual_Labor_Costs,"")</f>
        <v>168000</v>
      </c>
    </row>
  </sheetData>
  <sheetProtection sheet="1" objects="1" scenarios="1"/>
  <mergeCells count="33">
    <mergeCell ref="A153:F154"/>
    <mergeCell ref="A137:J137"/>
    <mergeCell ref="B34:I34"/>
    <mergeCell ref="A39:F40"/>
    <mergeCell ref="A150:F151"/>
    <mergeCell ref="A145:F146"/>
    <mergeCell ref="B102:I103"/>
    <mergeCell ref="A66:F67"/>
    <mergeCell ref="B69:I70"/>
    <mergeCell ref="A53:F54"/>
    <mergeCell ref="B12:C12"/>
    <mergeCell ref="A37:J37"/>
    <mergeCell ref="B28:I28"/>
    <mergeCell ref="C22:E22"/>
    <mergeCell ref="A26:J26"/>
    <mergeCell ref="C18:G18"/>
    <mergeCell ref="B20:C20"/>
    <mergeCell ref="C14:G14"/>
    <mergeCell ref="C16:G16"/>
    <mergeCell ref="A56:F57"/>
    <mergeCell ref="A42:F43"/>
    <mergeCell ref="C24:G24"/>
    <mergeCell ref="B30:I30"/>
    <mergeCell ref="A64:J64"/>
    <mergeCell ref="A124:J124"/>
    <mergeCell ref="A130:F131"/>
    <mergeCell ref="B32:I32"/>
    <mergeCell ref="A89:F90"/>
    <mergeCell ref="A105:F106"/>
    <mergeCell ref="A108:F109"/>
    <mergeCell ref="A111:F112"/>
    <mergeCell ref="A87:J87"/>
    <mergeCell ref="A59:F60"/>
  </mergeCells>
  <hyperlinks>
    <hyperlink ref="B28:I28" location="LINK_Cycle_Time_Improvement" tooltip="Jump to reducing cost per part with cycle time reduction" display="A. Is your cost per part to high?"/>
    <hyperlink ref="B30:I30" location="LINK_Reduced_Maintenance_Costs" tooltip="Jump to reducing CNC maintenance costs" display="B. Are your CNC maintenance costs too high?"/>
    <hyperlink ref="B32:I32" location="LINK_Obsolete_CNC" tooltip="Jump to obsolete CNC" display="C. Do you have too much CNC parts inventory?"/>
    <hyperlink ref="B34:I34" location="LINK_Reduce_Labor_Costs" tooltip="Jump to reduce labor costs" display="D. Are your labor costs too high?"/>
  </hyperlinks>
  <printOptions/>
  <pageMargins left="0.75" right="0.75" top="1" bottom="1" header="0.5" footer="0.5"/>
  <pageSetup horizontalDpi="600" verticalDpi="600" orientation="portrait" r:id="rId2"/>
  <rowBreaks count="3" manualBreakCount="3">
    <brk id="36" max="255" man="1"/>
    <brk id="63" max="255" man="1"/>
    <brk id="8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1" sqref="A11"/>
    </sheetView>
  </sheetViews>
  <sheetFormatPr defaultColWidth="9.140625" defaultRowHeight="12.75"/>
  <cols>
    <col min="2" max="2" width="14.8515625" style="0" customWidth="1"/>
  </cols>
  <sheetData>
    <row r="1" spans="1:2" ht="12.75">
      <c r="A1" t="s">
        <v>148</v>
      </c>
      <c r="B1" s="44">
        <v>1</v>
      </c>
    </row>
    <row r="2" spans="1:2" ht="12.75">
      <c r="A2" t="s">
        <v>6</v>
      </c>
      <c r="B2" s="45">
        <v>39520</v>
      </c>
    </row>
    <row r="3" spans="1:2" ht="12.75">
      <c r="A3" t="s">
        <v>149</v>
      </c>
      <c r="B3" s="46" t="s">
        <v>150</v>
      </c>
    </row>
    <row r="5" ht="12.75">
      <c r="A5" t="s">
        <v>152</v>
      </c>
    </row>
    <row r="6" ht="12.75">
      <c r="A6" t="s">
        <v>153</v>
      </c>
    </row>
    <row r="8" ht="12.75">
      <c r="A8" t="s">
        <v>154</v>
      </c>
    </row>
    <row r="10" ht="12.75">
      <c r="A10" t="s">
        <v>155</v>
      </c>
    </row>
    <row r="12" ht="12.75">
      <c r="A12" t="s">
        <v>151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41"/>
  <sheetViews>
    <sheetView workbookViewId="0" topLeftCell="A1">
      <selection activeCell="B41" sqref="B41"/>
    </sheetView>
  </sheetViews>
  <sheetFormatPr defaultColWidth="9.140625" defaultRowHeight="12.75"/>
  <cols>
    <col min="1" max="1" width="35.28125" style="0" customWidth="1"/>
    <col min="2" max="2" width="36.140625" style="0" customWidth="1"/>
  </cols>
  <sheetData>
    <row r="1" ht="12.75">
      <c r="A1" s="4" t="s">
        <v>120</v>
      </c>
    </row>
    <row r="2" spans="1:2" ht="12.75">
      <c r="A2" t="s">
        <v>106</v>
      </c>
      <c r="B2" t="s">
        <v>107</v>
      </c>
    </row>
    <row r="3" spans="1:2" ht="12.75">
      <c r="A3" t="s">
        <v>108</v>
      </c>
      <c r="B3" t="s">
        <v>109</v>
      </c>
    </row>
    <row r="4" spans="1:2" ht="12.75">
      <c r="A4" t="s">
        <v>110</v>
      </c>
      <c r="B4" t="s">
        <v>111</v>
      </c>
    </row>
    <row r="5" spans="1:2" ht="12.75">
      <c r="A5" t="s">
        <v>113</v>
      </c>
      <c r="B5" t="s">
        <v>114</v>
      </c>
    </row>
    <row r="6" spans="1:2" ht="12.75">
      <c r="A6" t="s">
        <v>112</v>
      </c>
      <c r="B6" t="s">
        <v>115</v>
      </c>
    </row>
    <row r="7" spans="1:2" ht="12.75">
      <c r="A7" t="s">
        <v>116</v>
      </c>
      <c r="B7">
        <v>12345</v>
      </c>
    </row>
    <row r="8" spans="1:2" ht="12.75">
      <c r="A8" t="s">
        <v>117</v>
      </c>
      <c r="B8" t="s">
        <v>118</v>
      </c>
    </row>
    <row r="9" spans="1:2" ht="12.75">
      <c r="A9" t="s">
        <v>119</v>
      </c>
      <c r="B9" t="s">
        <v>105</v>
      </c>
    </row>
    <row r="11" ht="12.75">
      <c r="A11" s="4" t="s">
        <v>121</v>
      </c>
    </row>
    <row r="12" spans="1:2" ht="12.75">
      <c r="A12" t="s">
        <v>128</v>
      </c>
      <c r="B12">
        <v>24</v>
      </c>
    </row>
    <row r="13" spans="1:2" ht="12.75">
      <c r="A13" t="s">
        <v>122</v>
      </c>
      <c r="B13">
        <v>20</v>
      </c>
    </row>
    <row r="14" spans="1:2" ht="12.75">
      <c r="A14" t="s">
        <v>123</v>
      </c>
      <c r="B14">
        <v>300</v>
      </c>
    </row>
    <row r="15" spans="1:2" ht="12.75">
      <c r="A15" t="s">
        <v>124</v>
      </c>
      <c r="B15">
        <v>34</v>
      </c>
    </row>
    <row r="16" spans="1:2" ht="12.75">
      <c r="A16" t="s">
        <v>125</v>
      </c>
      <c r="B16" s="42">
        <v>150</v>
      </c>
    </row>
    <row r="17" spans="1:2" ht="12.75">
      <c r="A17" t="s">
        <v>129</v>
      </c>
      <c r="B17">
        <v>200</v>
      </c>
    </row>
    <row r="18" spans="1:2" ht="12.75">
      <c r="A18" t="s">
        <v>126</v>
      </c>
      <c r="B18">
        <v>60</v>
      </c>
    </row>
    <row r="19" spans="1:2" ht="12.75">
      <c r="A19" t="s">
        <v>127</v>
      </c>
      <c r="B19" s="1">
        <v>150000</v>
      </c>
    </row>
    <row r="21" ht="12.75">
      <c r="A21" s="4" t="s">
        <v>130</v>
      </c>
    </row>
    <row r="22" spans="1:2" ht="12.75">
      <c r="A22" t="s">
        <v>131</v>
      </c>
      <c r="B22" s="41">
        <v>0.22</v>
      </c>
    </row>
    <row r="24" ht="12.75">
      <c r="A24" s="4" t="s">
        <v>132</v>
      </c>
    </row>
    <row r="25" spans="1:2" ht="12.75">
      <c r="A25" t="s">
        <v>136</v>
      </c>
      <c r="B25" s="1">
        <v>12000</v>
      </c>
    </row>
    <row r="26" spans="1:2" ht="12.75">
      <c r="A26" t="s">
        <v>137</v>
      </c>
      <c r="B26" s="1">
        <v>6000</v>
      </c>
    </row>
    <row r="27" spans="1:2" ht="12.75">
      <c r="A27" t="s">
        <v>138</v>
      </c>
      <c r="B27">
        <v>200</v>
      </c>
    </row>
    <row r="28" spans="1:2" ht="12.75">
      <c r="A28" t="s">
        <v>133</v>
      </c>
      <c r="B28" s="42">
        <v>85</v>
      </c>
    </row>
    <row r="29" spans="1:2" ht="12.75">
      <c r="A29" t="s">
        <v>134</v>
      </c>
      <c r="B29" s="1">
        <v>500</v>
      </c>
    </row>
    <row r="30" spans="1:2" ht="12.75">
      <c r="A30" t="s">
        <v>139</v>
      </c>
      <c r="B30" s="1">
        <v>0</v>
      </c>
    </row>
    <row r="31" spans="1:2" ht="12.75">
      <c r="A31" t="s">
        <v>135</v>
      </c>
      <c r="B31">
        <v>20</v>
      </c>
    </row>
    <row r="33" ht="12.75">
      <c r="A33" s="4" t="s">
        <v>140</v>
      </c>
    </row>
    <row r="34" spans="1:2" ht="12.75">
      <c r="A34" t="s">
        <v>141</v>
      </c>
      <c r="B34" s="1">
        <v>3000</v>
      </c>
    </row>
    <row r="35" spans="1:2" ht="12.75">
      <c r="A35" t="s">
        <v>142</v>
      </c>
      <c r="B35" s="1">
        <v>18000</v>
      </c>
    </row>
    <row r="37" ht="12.75">
      <c r="A37" s="4" t="s">
        <v>143</v>
      </c>
    </row>
    <row r="38" spans="1:2" ht="12.75">
      <c r="A38" t="s">
        <v>144</v>
      </c>
      <c r="B38" s="42">
        <v>35</v>
      </c>
    </row>
    <row r="39" spans="1:2" ht="12.75">
      <c r="A39" t="s">
        <v>145</v>
      </c>
      <c r="B39">
        <v>1</v>
      </c>
    </row>
    <row r="40" spans="1:2" ht="12.75">
      <c r="A40" t="s">
        <v>146</v>
      </c>
      <c r="B40">
        <v>8</v>
      </c>
    </row>
    <row r="41" spans="1:2" ht="12.75">
      <c r="A41" t="s">
        <v>147</v>
      </c>
      <c r="B41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B31"/>
  <sheetViews>
    <sheetView workbookViewId="0" topLeftCell="A1">
      <selection activeCell="B25" sqref="B25"/>
    </sheetView>
  </sheetViews>
  <sheetFormatPr defaultColWidth="9.140625" defaultRowHeight="12.75"/>
  <cols>
    <col min="1" max="1" width="11.8515625" style="0" customWidth="1"/>
    <col min="2" max="2" width="13.00390625" style="0" customWidth="1"/>
  </cols>
  <sheetData>
    <row r="2" spans="1:2" ht="12.75">
      <c r="A2" t="s">
        <v>71</v>
      </c>
      <c r="B2" s="1">
        <f>ROI_Investment</f>
        <v>150000</v>
      </c>
    </row>
    <row r="3" spans="1:2" ht="12.75">
      <c r="A3" t="s">
        <v>72</v>
      </c>
      <c r="B3" s="1">
        <f>Estimated_Savings</f>
        <v>1092655</v>
      </c>
    </row>
    <row r="22" spans="1:2" ht="12.75">
      <c r="A22" t="s">
        <v>73</v>
      </c>
      <c r="B22">
        <f>'ROI Financial Dashboard'!$I$15</f>
        <v>1071655</v>
      </c>
    </row>
    <row r="23" spans="1:2" ht="12.75">
      <c r="A23" t="s">
        <v>74</v>
      </c>
      <c r="B23">
        <f>'ROI Financial Dashboard'!$I$16</f>
        <v>0</v>
      </c>
    </row>
    <row r="24" spans="1:2" ht="12.75">
      <c r="A24" t="s">
        <v>75</v>
      </c>
      <c r="B24">
        <f>'ROI Financial Dashboard'!$I$17</f>
        <v>21000</v>
      </c>
    </row>
    <row r="28" spans="1:2" ht="12.75">
      <c r="A28" t="s">
        <v>76</v>
      </c>
      <c r="B28" s="1">
        <f>'ROI Financial Dashboard'!I25</f>
        <v>554400</v>
      </c>
    </row>
    <row r="29" spans="1:2" ht="12.75">
      <c r="A29" t="s">
        <v>104</v>
      </c>
      <c r="B29" s="1">
        <f>'ROI Financial Dashboard'!I26</f>
        <v>504000</v>
      </c>
    </row>
    <row r="30" spans="1:2" ht="12.75">
      <c r="A30" t="s">
        <v>78</v>
      </c>
      <c r="B30" s="1">
        <f>'ROI Financial Dashboard'!I27</f>
        <v>21000</v>
      </c>
    </row>
    <row r="31" spans="1:2" ht="12.75">
      <c r="A31" t="s">
        <v>77</v>
      </c>
      <c r="B31" s="1">
        <f>'ROI Financial Dashboard'!I28</f>
        <v>13255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GEXPAdmin</dc:creator>
  <cp:keywords/>
  <dc:description/>
  <cp:lastModifiedBy>Elizabeth Sickels</cp:lastModifiedBy>
  <cp:lastPrinted>2008-01-23T19:37:53Z</cp:lastPrinted>
  <dcterms:created xsi:type="dcterms:W3CDTF">2008-01-15T19:27:49Z</dcterms:created>
  <dcterms:modified xsi:type="dcterms:W3CDTF">2008-07-09T02:56:13Z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